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AlgorithmName="SHA-512" workbookHashValue="EVrr7UGeiYR4gi9fuK5TKBhJpJMmlC/l1xf9vdLy02eQh5DGiZIlvGAqt5tVnL+iZkqohy5bJ9PYltqG3alHKA==" workbookSaltValue="4Cf1Gzhs4FkLsd3xt9gGwA==" workbookSpinCount="100000" lockStructure="1"/>
  <bookViews>
    <workbookView showHorizontalScroll="0" showVerticalScroll="0" xWindow="0" yWindow="0" windowWidth="19200" windowHeight="12060"/>
  </bookViews>
  <sheets>
    <sheet name="Premium" sheetId="3" r:id="rId1"/>
    <sheet name="C1" sheetId="2" state="hidden" r:id="rId2"/>
    <sheet name="Sheet2" sheetId="5" state="hidden" r:id="rId3"/>
    <sheet name="Sheet1" sheetId="4" state="hidden" r:id="rId4"/>
  </sheets>
  <definedNames>
    <definedName name="_xlnm.Print_Area" localSheetId="0">Premium!$B$1:$C$30</definedName>
    <definedName name="Z_3F1A6132_2B86_40CC_AED6_B11CCDB90F60_.wvu.PrintArea" localSheetId="0" hidden="1">Premium!$B$1:$C$30</definedName>
    <definedName name="Z_3F1A6132_2B86_40CC_AED6_B11CCDB90F60_.wvu.Rows" localSheetId="0" hidden="1">Premium!$34:$34</definedName>
    <definedName name="Z_81959990_54F1_480D_987B_3957F0F610EC_.wvu.PrintArea" localSheetId="0" hidden="1">Premium!$B$1:$C$30</definedName>
    <definedName name="Z_81959990_54F1_480D_987B_3957F0F610EC_.wvu.Rows" localSheetId="0" hidden="1">Premium!$34:$34</definedName>
  </definedNames>
  <calcPr calcId="145621"/>
  <customWorkbookViews>
    <customWorkbookView name="Rate Estimator N &amp; R" guid="{3F1A6132-2B86-40CC-AED6-B11CCDB90F60}" maximized="1" showHorizontalScroll="0" showVerticalScroll="0" xWindow="-8" yWindow="-8" windowWidth="1296" windowHeight="1000" activeSheetId="3" showFormulaBar="0"/>
    <customWorkbookView name="Rate Estimator" guid="{81959990-54F1-480D-987B-3957F0F610EC}" maximized="1" showHorizontalScroll="0" showVerticalScroll="0" xWindow="1" yWindow="1" windowWidth="1280" windowHeight="797" activeSheetId="3" showFormulaBar="0"/>
  </customWorkbookViews>
</workbook>
</file>

<file path=xl/calcChain.xml><?xml version="1.0" encoding="utf-8"?>
<calcChain xmlns="http://schemas.openxmlformats.org/spreadsheetml/2006/main">
  <c r="B30" i="2" l="1"/>
  <c r="B31" i="2" s="1"/>
  <c r="B17" i="2"/>
  <c r="B45" i="2" s="1"/>
  <c r="B4" i="2"/>
  <c r="B5" i="2" s="1"/>
  <c r="C6" i="2" s="1"/>
  <c r="B46" i="2" l="1"/>
  <c r="C53" i="2" s="1"/>
  <c r="C9" i="2"/>
  <c r="C8" i="2"/>
  <c r="C7" i="2"/>
  <c r="C10" i="2"/>
  <c r="B18" i="2"/>
  <c r="B65" i="2"/>
  <c r="C67" i="2" s="1"/>
  <c r="C36" i="2"/>
  <c r="C32" i="2"/>
  <c r="C35" i="2"/>
  <c r="C34" i="2"/>
  <c r="C33" i="2"/>
  <c r="C48" i="2" l="1"/>
  <c r="C51" i="2"/>
  <c r="C50" i="2"/>
  <c r="C47" i="2"/>
  <c r="C49" i="2" s="1"/>
  <c r="C70" i="2"/>
  <c r="C21" i="2"/>
  <c r="C52" i="2"/>
  <c r="B66" i="2"/>
  <c r="C73" i="2" s="1"/>
  <c r="C23" i="2"/>
  <c r="C19" i="2"/>
  <c r="C22" i="2"/>
  <c r="C11" i="2"/>
  <c r="C12" i="2" s="1"/>
  <c r="C13" i="2" s="1"/>
  <c r="C23" i="3" s="1"/>
  <c r="C15" i="3" s="1"/>
  <c r="C20" i="2"/>
  <c r="C37" i="2"/>
  <c r="C38" i="2" s="1"/>
  <c r="C39" i="2" s="1"/>
  <c r="C68" i="2" l="1"/>
  <c r="C69" i="2"/>
  <c r="C76" i="2"/>
  <c r="C54" i="2"/>
  <c r="C72" i="2"/>
  <c r="C71" i="2"/>
  <c r="C19" i="3"/>
  <c r="C24" i="2"/>
  <c r="C25" i="2" s="1"/>
  <c r="C26" i="2" s="1"/>
  <c r="C24" i="3" s="1"/>
  <c r="C25" i="3"/>
  <c r="C79" i="2"/>
  <c r="C74" i="2" l="1"/>
  <c r="C75" i="2" s="1"/>
  <c r="C80" i="2" s="1"/>
  <c r="C56" i="2"/>
  <c r="C59" i="2"/>
  <c r="C55" i="2" l="1"/>
  <c r="C57" i="2" s="1"/>
  <c r="C77" i="2"/>
  <c r="C60" i="2" l="1"/>
  <c r="C20" i="3" s="1"/>
  <c r="C21" i="3" s="1"/>
  <c r="C16" i="3"/>
  <c r="C17" i="3" s="1"/>
</calcChain>
</file>

<file path=xl/sharedStrings.xml><?xml version="1.0" encoding="utf-8"?>
<sst xmlns="http://schemas.openxmlformats.org/spreadsheetml/2006/main" count="94" uniqueCount="53">
  <si>
    <t>Loan Policy</t>
  </si>
  <si>
    <t>Amount</t>
  </si>
  <si>
    <t>Rounded</t>
  </si>
  <si>
    <t>Breakdown</t>
  </si>
  <si>
    <t>500,0001 to 1,000,000</t>
  </si>
  <si>
    <t>Total</t>
  </si>
  <si>
    <t>Enhanced Owner's Policy (HPT)</t>
  </si>
  <si>
    <t>1,000,001 and above</t>
  </si>
  <si>
    <t>Sales Price</t>
  </si>
  <si>
    <t>Loan Amount</t>
  </si>
  <si>
    <t>Loan Policy Only</t>
  </si>
  <si>
    <t>Owner's Policy Only</t>
  </si>
  <si>
    <t>Enhanced Owner's Policy Only</t>
  </si>
  <si>
    <t>Only 1 policy issued at closing</t>
  </si>
  <si>
    <t>Standard Owner's Policy</t>
  </si>
  <si>
    <t>Simultaneous Fee</t>
  </si>
  <si>
    <t>Enhanced Owner's</t>
  </si>
  <si>
    <t>Standard Owner's</t>
  </si>
  <si>
    <t>Simultaneous: Loan Greater Than Sales Price</t>
  </si>
  <si>
    <t>LTP Premium</t>
  </si>
  <si>
    <t>LTP for GFE</t>
  </si>
  <si>
    <t>Difference</t>
  </si>
  <si>
    <t>Standard OTP Premium</t>
  </si>
  <si>
    <t>Adj. Standard OTP Premium for GFE</t>
  </si>
  <si>
    <t>Enhanced OTP Premium</t>
  </si>
  <si>
    <t>Adj. Enhanced OTP Premium for GFE</t>
  </si>
  <si>
    <t>500,001 to 1,000,000</t>
  </si>
  <si>
    <t>60,001 to 100,000</t>
  </si>
  <si>
    <t>100,001 to 500,000</t>
  </si>
  <si>
    <t xml:space="preserve">Difference For Loan Greater </t>
  </si>
  <si>
    <t>Please enter amounts:</t>
  </si>
  <si>
    <t>Georgia Residential Premium Estimator</t>
  </si>
  <si>
    <r>
      <t xml:space="preserve">Loan and </t>
    </r>
    <r>
      <rPr>
        <b/>
        <u/>
        <sz val="11"/>
        <color theme="0"/>
        <rFont val="Arial"/>
        <family val="2"/>
      </rPr>
      <t>Regular</t>
    </r>
    <r>
      <rPr>
        <b/>
        <sz val="11"/>
        <color theme="0"/>
        <rFont val="Arial"/>
        <family val="2"/>
      </rPr>
      <t xml:space="preserve"> Owner's policies issued at same closing</t>
    </r>
  </si>
  <si>
    <r>
      <t xml:space="preserve">Loan and </t>
    </r>
    <r>
      <rPr>
        <b/>
        <u/>
        <sz val="11"/>
        <color theme="0"/>
        <rFont val="Arial"/>
        <family val="2"/>
      </rPr>
      <t>Enhanced</t>
    </r>
    <r>
      <rPr>
        <b/>
        <sz val="11"/>
        <color theme="0"/>
        <rFont val="Arial"/>
        <family val="2"/>
      </rPr>
      <t xml:space="preserve"> Owner's policies issued at same closing</t>
    </r>
  </si>
  <si>
    <t xml:space="preserve">Premium            </t>
  </si>
  <si>
    <r>
      <t xml:space="preserve">Loan Policy | </t>
    </r>
    <r>
      <rPr>
        <sz val="11"/>
        <rFont val="Arial"/>
        <family val="2"/>
      </rPr>
      <t>CDF Section C</t>
    </r>
  </si>
  <si>
    <r>
      <t>Enhanced Owner's Policy |</t>
    </r>
    <r>
      <rPr>
        <sz val="11"/>
        <rFont val="Arial"/>
        <family val="2"/>
      </rPr>
      <t xml:space="preserve"> CDF Section H</t>
    </r>
  </si>
  <si>
    <r>
      <t xml:space="preserve">Owner's Policy | </t>
    </r>
    <r>
      <rPr>
        <sz val="11"/>
        <rFont val="Arial"/>
        <family val="2"/>
      </rPr>
      <t>CDF Section H</t>
    </r>
  </si>
  <si>
    <t>minimum of $180</t>
  </si>
  <si>
    <t>0 to 59,406.</t>
  </si>
  <si>
    <t>Calculation of New Rates Effective 2/1/2017</t>
  </si>
  <si>
    <t>Rates effective 2/1/2017.  Please delete earlier versions.</t>
  </si>
  <si>
    <t>minimum of $250</t>
  </si>
  <si>
    <t>0 to 60,535.</t>
  </si>
  <si>
    <t>0 to 60,607</t>
  </si>
  <si>
    <t>minimum of $300</t>
  </si>
  <si>
    <t>60,608 to 100,000</t>
  </si>
  <si>
    <t>60,000 to 100,000</t>
  </si>
  <si>
    <t>Difference of Loan Greater than Owners</t>
  </si>
  <si>
    <t>minimum</t>
  </si>
  <si>
    <t xml:space="preserve">This Estimator is provided for general information only and is subject to rate changes.
</t>
  </si>
  <si>
    <t>The amount shown is for premiums only and is intended for standard residential purchase and refinance transactions.  Please utilize the StarsLink Rate Calculator for all other calculations.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</si>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</sst>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24"/>
      <color theme="0"/>
      <name val="Arial"/>
      <family val="2"/>
    </font>
    <font>
      <sz val="11"/>
      <color theme="0"/>
      <name val="Arial"/>
      <family val="2"/>
    </font>
    <font>
      <b/>
      <i/>
      <sz val="20"/>
      <color rgb="FFC00000"/>
      <name val="Arial"/>
      <family val="2"/>
    </font>
    <font>
      <b/>
      <sz val="18"/>
      <color theme="0"/>
      <name val="Arial"/>
      <family val="2"/>
    </font>
    <font>
      <b/>
      <u/>
      <sz val="11"/>
      <color theme="0"/>
      <name val="Arial"/>
      <family val="2"/>
    </font>
    <font>
      <b/>
      <sz val="12"/>
      <color rgb="FF464646"/>
      <name val="Arial"/>
      <family val="2"/>
    </font>
    <font>
      <b/>
      <i/>
      <sz val="11"/>
      <color rgb="FFC00000"/>
      <name val="Arial"/>
      <family val="2"/>
    </font>
    <font>
      <sz val="11"/>
      <name val="Calibri"/>
      <family val="2"/>
    </font>
    <font>
      <sz val="11"/>
      <color rgb="FF1F497D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rgb="FF00338E"/>
      </patternFill>
    </fill>
    <fill>
      <patternFill patternType="solid">
        <fgColor rgb="FF00338E"/>
        <bgColor indexed="64"/>
      </patternFill>
    </fill>
    <fill>
      <patternFill patternType="solid">
        <fgColor rgb="FF00338E"/>
        <bgColor rgb="FF00338E"/>
      </patternFill>
    </fill>
    <fill>
      <patternFill patternType="solid">
        <fgColor rgb="FFE7E7E7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00338E"/>
      </top>
      <bottom/>
      <diagonal/>
    </border>
    <border>
      <left style="medium">
        <color rgb="FF00338E"/>
      </left>
      <right/>
      <top style="medium">
        <color rgb="FF00338E"/>
      </top>
      <bottom/>
      <diagonal/>
    </border>
    <border>
      <left/>
      <right style="medium">
        <color rgb="FF00338E"/>
      </right>
      <top style="medium">
        <color rgb="FF00338E"/>
      </top>
      <bottom/>
      <diagonal/>
    </border>
    <border>
      <left style="medium">
        <color rgb="FF00338E"/>
      </left>
      <right/>
      <top/>
      <bottom/>
      <diagonal/>
    </border>
    <border>
      <left/>
      <right style="medium">
        <color rgb="FF00338E"/>
      </right>
      <top/>
      <bottom/>
      <diagonal/>
    </border>
    <border>
      <left style="medium">
        <color rgb="FF00338E"/>
      </left>
      <right/>
      <top/>
      <bottom style="medium">
        <color indexed="64"/>
      </bottom>
      <diagonal/>
    </border>
    <border>
      <left style="medium">
        <color rgb="FF00338E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338E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338E"/>
      </right>
      <top/>
      <bottom style="medium">
        <color indexed="64"/>
      </bottom>
      <diagonal/>
    </border>
    <border>
      <left style="medium">
        <color rgb="FF00338E"/>
      </left>
      <right/>
      <top style="medium">
        <color indexed="64"/>
      </top>
      <bottom/>
      <diagonal/>
    </border>
    <border>
      <left/>
      <right style="medium">
        <color rgb="FF00338E"/>
      </right>
      <top style="medium">
        <color indexed="64"/>
      </top>
      <bottom/>
      <diagonal/>
    </border>
    <border>
      <left style="medium">
        <color rgb="FF00338E"/>
      </left>
      <right/>
      <top/>
      <bottom style="thin">
        <color indexed="64"/>
      </bottom>
      <diagonal/>
    </border>
    <border>
      <left/>
      <right style="medium">
        <color rgb="FF00338E"/>
      </right>
      <top/>
      <bottom style="thin">
        <color indexed="64"/>
      </bottom>
      <diagonal/>
    </border>
    <border>
      <left/>
      <right/>
      <top/>
      <bottom style="medium">
        <color rgb="FF00338E"/>
      </bottom>
      <diagonal/>
    </border>
    <border>
      <left style="medium">
        <color rgb="FF00338E"/>
      </left>
      <right style="thin">
        <color rgb="FF00338E"/>
      </right>
      <top style="thin">
        <color indexed="64"/>
      </top>
      <bottom/>
      <diagonal/>
    </border>
    <border>
      <left/>
      <right style="medium">
        <color rgb="FF00338E"/>
      </right>
      <top style="thin">
        <color indexed="64"/>
      </top>
      <bottom/>
      <diagonal/>
    </border>
    <border>
      <left style="medium">
        <color rgb="FF00338E"/>
      </left>
      <right style="thin">
        <color rgb="FF00338E"/>
      </right>
      <top/>
      <bottom/>
      <diagonal/>
    </border>
    <border>
      <left style="thin">
        <color rgb="FF00338E"/>
      </left>
      <right style="medium">
        <color rgb="FF00338E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1" fillId="0" borderId="0" xfId="1" applyFill="1"/>
    <xf numFmtId="44" fontId="1" fillId="0" borderId="0" xfId="1"/>
    <xf numFmtId="0" fontId="0" fillId="0" borderId="0" xfId="0" applyAlignment="1"/>
    <xf numFmtId="44" fontId="4" fillId="2" borderId="1" xfId="1" applyFont="1" applyFill="1" applyBorder="1"/>
    <xf numFmtId="44" fontId="1" fillId="3" borderId="0" xfId="1" applyFill="1" applyProtection="1"/>
    <xf numFmtId="44" fontId="5" fillId="0" borderId="2" xfId="1" applyFont="1" applyBorder="1"/>
    <xf numFmtId="44" fontId="0" fillId="0" borderId="0" xfId="0" applyNumberFormat="1"/>
    <xf numFmtId="44" fontId="0" fillId="0" borderId="0" xfId="1" applyFont="1"/>
    <xf numFmtId="44" fontId="5" fillId="0" borderId="2" xfId="1" applyFont="1" applyFill="1" applyBorder="1"/>
    <xf numFmtId="44" fontId="0" fillId="3" borderId="0" xfId="0" applyNumberFormat="1" applyFill="1"/>
    <xf numFmtId="44" fontId="4" fillId="2" borderId="1" xfId="0" applyNumberFormat="1" applyFont="1" applyFill="1" applyBorder="1"/>
    <xf numFmtId="44" fontId="0" fillId="3" borderId="0" xfId="1" applyFont="1" applyFill="1"/>
    <xf numFmtId="44" fontId="0" fillId="0" borderId="3" xfId="0" applyNumberFormat="1" applyBorder="1"/>
    <xf numFmtId="44" fontId="0" fillId="0" borderId="4" xfId="1" quotePrefix="1" applyFont="1" applyBorder="1" applyAlignment="1">
      <alignment horizontal="center"/>
    </xf>
    <xf numFmtId="44" fontId="4" fillId="0" borderId="0" xfId="1" applyFont="1" applyFill="1" applyBorder="1"/>
    <xf numFmtId="44" fontId="4" fillId="0" borderId="2" xfId="0" applyNumberFormat="1" applyFont="1" applyBorder="1"/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0" fontId="6" fillId="0" borderId="0" xfId="0" applyFont="1" applyProtection="1"/>
    <xf numFmtId="0" fontId="6" fillId="6" borderId="0" xfId="0" applyFont="1" applyFill="1" applyProtection="1"/>
    <xf numFmtId="0" fontId="6" fillId="6" borderId="0" xfId="0" applyFont="1" applyFill="1"/>
    <xf numFmtId="0" fontId="6" fillId="0" borderId="0" xfId="0" applyFont="1" applyAlignment="1" applyProtection="1">
      <alignment vertical="top"/>
    </xf>
    <xf numFmtId="0" fontId="7" fillId="0" borderId="13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Fill="1" applyProtection="1"/>
    <xf numFmtId="44" fontId="7" fillId="9" borderId="16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44" fontId="7" fillId="9" borderId="23" xfId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44" fontId="7" fillId="9" borderId="23" xfId="1" quotePrefix="1" applyFont="1" applyFill="1" applyBorder="1" applyAlignment="1">
      <alignment vertical="center"/>
    </xf>
    <xf numFmtId="44" fontId="7" fillId="9" borderId="23" xfId="1" applyFont="1" applyFill="1" applyBorder="1" applyAlignment="1">
      <alignment vertical="center"/>
    </xf>
    <xf numFmtId="44" fontId="7" fillId="9" borderId="12" xfId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9" borderId="11" xfId="0" applyFont="1" applyFill="1" applyBorder="1"/>
    <xf numFmtId="0" fontId="7" fillId="9" borderId="12" xfId="0" applyFont="1" applyFill="1" applyBorder="1"/>
    <xf numFmtId="0" fontId="10" fillId="0" borderId="0" xfId="0" applyFont="1" applyBorder="1" applyProtection="1"/>
    <xf numFmtId="0" fontId="6" fillId="0" borderId="0" xfId="0" applyFont="1" applyFill="1"/>
    <xf numFmtId="0" fontId="6" fillId="0" borderId="11" xfId="0" applyFont="1" applyFill="1" applyBorder="1"/>
    <xf numFmtId="0" fontId="6" fillId="0" borderId="12" xfId="0" applyFont="1" applyFill="1" applyBorder="1"/>
    <xf numFmtId="44" fontId="14" fillId="10" borderId="25" xfId="1" applyFont="1" applyFill="1" applyBorder="1" applyAlignment="1">
      <alignment vertical="center"/>
    </xf>
    <xf numFmtId="44" fontId="14" fillId="10" borderId="16" xfId="1" applyFont="1" applyFill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44" fontId="16" fillId="0" borderId="0" xfId="0" applyNumberFormat="1" applyFont="1" applyAlignment="1">
      <alignment vertical="center"/>
    </xf>
    <xf numFmtId="44" fontId="4" fillId="0" borderId="3" xfId="1" quotePrefix="1" applyNumberFormat="1" applyFont="1" applyBorder="1" applyAlignment="1">
      <alignment horizontal="center"/>
    </xf>
    <xf numFmtId="44" fontId="16" fillId="0" borderId="0" xfId="0" applyNumberFormat="1" applyFont="1"/>
    <xf numFmtId="44" fontId="17" fillId="0" borderId="0" xfId="0" applyNumberFormat="1" applyFont="1" applyAlignment="1">
      <alignment vertical="center"/>
    </xf>
    <xf numFmtId="0" fontId="1" fillId="0" borderId="0" xfId="0" applyFont="1"/>
    <xf numFmtId="44" fontId="17" fillId="0" borderId="2" xfId="0" applyNumberFormat="1" applyFont="1" applyBorder="1" applyAlignment="1">
      <alignment vertical="center"/>
    </xf>
    <xf numFmtId="44" fontId="16" fillId="0" borderId="2" xfId="0" applyNumberFormat="1" applyFont="1" applyBorder="1" applyAlignment="1">
      <alignment vertical="center"/>
    </xf>
    <xf numFmtId="44" fontId="16" fillId="0" borderId="2" xfId="0" applyNumberFormat="1" applyFont="1" applyBorder="1"/>
    <xf numFmtId="0" fontId="7" fillId="0" borderId="0" xfId="0" applyFont="1" applyBorder="1" applyAlignment="1">
      <alignment horizontal="center" vertical="justify"/>
    </xf>
    <xf numFmtId="0" fontId="6" fillId="0" borderId="21" xfId="0" applyFont="1" applyFill="1" applyBorder="1" applyAlignment="1"/>
    <xf numFmtId="0" fontId="11" fillId="0" borderId="0" xfId="0" applyFont="1" applyBorder="1" applyAlignment="1">
      <alignment horizontal="left" vertical="top" wrapText="1"/>
    </xf>
    <xf numFmtId="0" fontId="7" fillId="0" borderId="8" xfId="0" applyFont="1" applyBorder="1" applyAlignment="1" applyProtection="1">
      <alignment horizontal="center" vertical="justify" wrapText="1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7E7E7"/>
      <color rgb="FF464646"/>
      <color rgb="FFC4C4C4"/>
      <color rgb="FFDEDEDE"/>
      <color rgb="FFDBDBDB"/>
      <color rgb="FFDADADA"/>
      <color rgb="FFE5DABD"/>
      <color rgb="FFD9C89E"/>
      <color rgb="FFCC8A00"/>
      <color rgb="FFB2B4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2026918</xdr:colOff>
      <xdr:row>0</xdr:row>
      <xdr:rowOff>200025</xdr:rowOff>
    </xdr:from>
    <xdr:to>
      <xdr:col>4</xdr:col>
      <xdr:colOff>85723</xdr:colOff>
      <xdr:row>35</xdr:row>
      <xdr:rowOff>64770</xdr:rowOff>
    </xdr:to>
    <xdr:grpSp>
      <xdr:nvGrpSpPr>
        <xdr:cNvPr id="20" name="Group 19"/>
        <xdr:cNvGrpSpPr/>
      </xdr:nvGrpSpPr>
      <xdr:grpSpPr>
        <a:xfrm rot="5400000">
          <a:off x="2028823" y="198120"/>
          <a:ext cx="7505912" cy="7509722"/>
          <a:chOff x="0" y="442912"/>
          <a:chExt cx="1428749" cy="857250"/>
        </a:xfrm>
        <a:noFill/>
        <a:scene3d>
          <a:camera prst="perspectiveFront"/>
          <a:lightRig rig="threePt" dir="t"/>
        </a:scene3d>
      </xdr:grpSpPr>
      <xdr:sp macro="" textlink="">
        <xdr:nvSpPr>
          <xdr:cNvPr id="21" name="Rectangle 20"/>
          <xdr:cNvSpPr/>
        </xdr:nvSpPr>
        <xdr:spPr>
          <a:xfrm>
            <a:off x="0" y="442912"/>
            <a:ext cx="1428749" cy="857250"/>
          </a:xfrm>
          <a:prstGeom prst="rect">
            <a:avLst/>
          </a:prstGeom>
          <a:grpFill/>
          <a:ln>
            <a:solidFill>
              <a:schemeClr val="accent1"/>
            </a:solidFill>
          </a:ln>
          <a:sp3d extrusionH="82550" prstMaterial="metal">
            <a:bevelT w="57150" h="25400" prst="coolSlant"/>
            <a:bevelB w="0" h="0"/>
            <a:contourClr>
              <a:srgbClr val="002060"/>
            </a:contourClr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2" name="Rectangle 21"/>
          <xdr:cNvSpPr/>
        </xdr:nvSpPr>
        <xdr:spPr>
          <a:xfrm>
            <a:off x="0" y="442912"/>
            <a:ext cx="1428749" cy="857250"/>
          </a:xfrm>
          <a:prstGeom prst="rect">
            <a:avLst/>
          </a:prstGeom>
          <a:grpFill/>
          <a:ln>
            <a:solidFill>
              <a:schemeClr val="accent1"/>
            </a:solidFill>
          </a:ln>
          <a:sp3d extrusionH="82550" prstMaterial="metal">
            <a:bevelT w="57150" prst="coolSlant"/>
            <a:bevelB w="0" h="0"/>
            <a:contourClr>
              <a:srgbClr val="002060"/>
            </a:contour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48590" tIns="148590" rIns="148590" bIns="148590" numCol="1" spcCol="1270" anchor="ctr" anchorCtr="0">
            <a:noAutofit/>
          </a:bodyPr>
          <a:lstStyle/>
          <a:p>
            <a:pPr lvl="0" algn="ctr" defTabSz="1733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3900" kern="1200"/>
          </a:p>
        </xdr:txBody>
      </xdr:sp>
    </xdr:grpSp>
    <xdr:clientData/>
  </xdr:twoCellAnchor>
  <xdr:twoCellAnchor>
    <xdr:from>
      <xdr:col>1</xdr:col>
      <xdr:colOff>407458</xdr:colOff>
      <xdr:row>29</xdr:row>
      <xdr:rowOff>63500</xdr:rowOff>
    </xdr:from>
    <xdr:to>
      <xdr:col>2</xdr:col>
      <xdr:colOff>3556000</xdr:colOff>
      <xdr:row>34</xdr:row>
      <xdr:rowOff>81492</xdr:rowOff>
    </xdr:to>
    <xdr:sp macro="" textlink="">
      <xdr:nvSpPr>
        <xdr:cNvPr id="2" name="TextBox 1"/>
        <xdr:cNvSpPr txBox="1"/>
      </xdr:nvSpPr>
      <xdr:spPr>
        <a:xfrm>
          <a:off x="2862791" y="6889750"/>
          <a:ext cx="6228292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We appreciate your business and continued loyalty.</a:t>
          </a:r>
        </a:p>
      </xdr:txBody>
    </xdr:sp>
    <xdr:clientData/>
  </xdr:twoCellAnchor>
  <xdr:twoCellAnchor editAs="oneCell">
    <xdr:from>
      <xdr:col>1</xdr:col>
      <xdr:colOff>2254250</xdr:colOff>
      <xdr:row>0</xdr:row>
      <xdr:rowOff>317499</xdr:rowOff>
    </xdr:from>
    <xdr:to>
      <xdr:col>2</xdr:col>
      <xdr:colOff>1576917</xdr:colOff>
      <xdr:row>0</xdr:row>
      <xdr:rowOff>1026582</xdr:rowOff>
    </xdr:to>
    <xdr:pic>
      <xdr:nvPicPr>
        <xdr:cNvPr id="9" name="Picture 8" descr="N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583" y="317499"/>
          <a:ext cx="2402417" cy="709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5"/>
  <sheetViews>
    <sheetView showGridLines="0" showRowColHeaders="0" tabSelected="1" zoomScale="90" zoomScaleNormal="90" workbookViewId="0">
      <selection activeCell="C10" sqref="C10"/>
    </sheetView>
  </sheetViews>
  <sheetFormatPr defaultRowHeight="14.25" x14ac:dyDescent="0.2"/>
  <cols>
    <col min="1" max="1" width="36.85546875" style="19" customWidth="1"/>
    <col min="2" max="2" width="46.140625" style="19" customWidth="1"/>
    <col min="3" max="3" width="53.5703125" style="19" customWidth="1"/>
    <col min="4" max="4" width="5" style="20" customWidth="1"/>
    <col min="5" max="14" width="9.140625" style="20"/>
    <col min="15" max="16384" width="9.140625" style="19"/>
  </cols>
  <sheetData>
    <row r="1" spans="1:14" ht="84.95" customHeight="1" thickBot="1" x14ac:dyDescent="0.25">
      <c r="B1" s="55"/>
      <c r="C1" s="55"/>
    </row>
    <row r="2" spans="1:14" ht="8.1" customHeight="1" x14ac:dyDescent="0.2">
      <c r="B2" s="64" t="s">
        <v>31</v>
      </c>
      <c r="C2" s="65"/>
    </row>
    <row r="3" spans="1:14" ht="9.9499999999999993" customHeight="1" x14ac:dyDescent="0.2">
      <c r="B3" s="66"/>
      <c r="C3" s="67"/>
    </row>
    <row r="4" spans="1:14" ht="14.1" customHeight="1" x14ac:dyDescent="0.2">
      <c r="B4" s="66"/>
      <c r="C4" s="67"/>
    </row>
    <row r="5" spans="1:14" ht="8.1" customHeight="1" x14ac:dyDescent="0.2">
      <c r="B5" s="66"/>
      <c r="C5" s="67"/>
    </row>
    <row r="6" spans="1:14" ht="9.9499999999999993" customHeight="1" x14ac:dyDescent="0.2">
      <c r="B6" s="68"/>
      <c r="C6" s="69"/>
      <c r="F6" s="26"/>
    </row>
    <row r="7" spans="1:14" s="22" customFormat="1" ht="15.95" customHeight="1" x14ac:dyDescent="0.2">
      <c r="A7" s="39"/>
      <c r="B7" s="68"/>
      <c r="C7" s="69"/>
      <c r="D7" s="27"/>
      <c r="E7" s="27"/>
      <c r="F7" s="27"/>
      <c r="G7" s="27"/>
      <c r="H7" s="27"/>
      <c r="I7" s="27"/>
      <c r="J7" s="21"/>
      <c r="K7" s="21"/>
      <c r="L7" s="21"/>
      <c r="M7" s="21"/>
      <c r="N7" s="21"/>
    </row>
    <row r="8" spans="1:14" s="22" customFormat="1" ht="3.95" customHeight="1" thickBot="1" x14ac:dyDescent="0.25">
      <c r="A8" s="39"/>
      <c r="B8" s="40"/>
      <c r="C8" s="41"/>
      <c r="D8" s="27"/>
      <c r="E8" s="27"/>
      <c r="F8" s="27"/>
      <c r="G8" s="27"/>
      <c r="H8" s="27"/>
      <c r="I8" s="27"/>
      <c r="J8" s="21"/>
      <c r="K8" s="21"/>
      <c r="L8" s="21"/>
      <c r="M8" s="21"/>
      <c r="N8" s="21"/>
    </row>
    <row r="9" spans="1:14" ht="16.5" customHeight="1" x14ac:dyDescent="0.25">
      <c r="B9" s="60" t="s">
        <v>30</v>
      </c>
      <c r="C9" s="61"/>
    </row>
    <row r="10" spans="1:14" ht="20.100000000000001" customHeight="1" x14ac:dyDescent="0.2">
      <c r="B10" s="31" t="s">
        <v>8</v>
      </c>
      <c r="C10" s="30"/>
    </row>
    <row r="11" spans="1:14" ht="20.100000000000001" customHeight="1" thickBot="1" x14ac:dyDescent="0.25">
      <c r="B11" s="24" t="s">
        <v>9</v>
      </c>
      <c r="C11" s="28"/>
    </row>
    <row r="12" spans="1:14" ht="3.95" customHeight="1" thickBot="1" x14ac:dyDescent="0.3">
      <c r="B12" s="36"/>
      <c r="C12" s="37"/>
    </row>
    <row r="13" spans="1:14" ht="15" x14ac:dyDescent="0.25">
      <c r="B13" s="58" t="s">
        <v>34</v>
      </c>
      <c r="C13" s="59"/>
      <c r="F13" s="27"/>
    </row>
    <row r="14" spans="1:14" ht="15" x14ac:dyDescent="0.25">
      <c r="B14" s="62" t="s">
        <v>33</v>
      </c>
      <c r="C14" s="63"/>
    </row>
    <row r="15" spans="1:14" ht="20.100000000000001" customHeight="1" x14ac:dyDescent="0.2">
      <c r="B15" s="31" t="s">
        <v>35</v>
      </c>
      <c r="C15" s="32">
        <f>IF(C11=0,0,IF(C10=0,0,C23))</f>
        <v>0</v>
      </c>
    </row>
    <row r="16" spans="1:14" ht="20.100000000000001" customHeight="1" x14ac:dyDescent="0.2">
      <c r="B16" s="35" t="s">
        <v>36</v>
      </c>
      <c r="C16" s="34">
        <f>IF(C11=0,0,IF(C11&gt;C10,'C1'!C80,IF(C11&lt;C10,'C1'!C80,IF(C11=C10,'C1'!C80))))</f>
        <v>0</v>
      </c>
    </row>
    <row r="17" spans="1:8" ht="20.100000000000001" customHeight="1" x14ac:dyDescent="0.2">
      <c r="B17" s="45" t="s">
        <v>5</v>
      </c>
      <c r="C17" s="42">
        <f>SUM(C15:C16)</f>
        <v>0</v>
      </c>
    </row>
    <row r="18" spans="1:8" ht="15" x14ac:dyDescent="0.25">
      <c r="B18" s="62" t="s">
        <v>32</v>
      </c>
      <c r="C18" s="63"/>
    </row>
    <row r="19" spans="1:8" ht="20.100000000000001" customHeight="1" x14ac:dyDescent="0.2">
      <c r="B19" s="31" t="s">
        <v>35</v>
      </c>
      <c r="C19" s="33">
        <f>IF(C11=0,0,IF(C10=0,0,C23))</f>
        <v>0</v>
      </c>
    </row>
    <row r="20" spans="1:8" ht="20.100000000000001" customHeight="1" x14ac:dyDescent="0.2">
      <c r="B20" s="35" t="s">
        <v>37</v>
      </c>
      <c r="C20" s="34">
        <f>IF(C11=0,0,IF(C10=0,0,IF(C11&gt;C10,'C1'!C60,IF(C11&lt;C10,'C1'!C60,IF(C11=C10,'C1'!C60)))))</f>
        <v>0</v>
      </c>
    </row>
    <row r="21" spans="1:8" ht="20.100000000000001" customHeight="1" thickBot="1" x14ac:dyDescent="0.25">
      <c r="B21" s="44" t="s">
        <v>5</v>
      </c>
      <c r="C21" s="43">
        <f>SUM(C19:C20)</f>
        <v>0</v>
      </c>
    </row>
    <row r="22" spans="1:8" ht="15" x14ac:dyDescent="0.25">
      <c r="B22" s="60" t="s">
        <v>13</v>
      </c>
      <c r="C22" s="61"/>
    </row>
    <row r="23" spans="1:8" ht="20.100000000000001" customHeight="1" x14ac:dyDescent="0.2">
      <c r="B23" s="31" t="s">
        <v>10</v>
      </c>
      <c r="C23" s="33">
        <f>'C1'!C13</f>
        <v>0</v>
      </c>
      <c r="H23" s="25"/>
    </row>
    <row r="24" spans="1:8" ht="20.100000000000001" customHeight="1" x14ac:dyDescent="0.2">
      <c r="B24" s="35" t="s">
        <v>11</v>
      </c>
      <c r="C24" s="34">
        <f>'C1'!C26</f>
        <v>0</v>
      </c>
    </row>
    <row r="25" spans="1:8" ht="25.5" customHeight="1" thickBot="1" x14ac:dyDescent="0.25">
      <c r="B25" s="35" t="s">
        <v>12</v>
      </c>
      <c r="C25" s="34">
        <f>'C1'!C39</f>
        <v>0</v>
      </c>
    </row>
    <row r="26" spans="1:8" ht="24" customHeight="1" thickTop="1" x14ac:dyDescent="0.2">
      <c r="B26" s="57" t="s">
        <v>50</v>
      </c>
      <c r="C26" s="57"/>
      <c r="F26" s="23"/>
      <c r="G26" s="38"/>
    </row>
    <row r="27" spans="1:8" ht="27.75" customHeight="1" x14ac:dyDescent="0.2">
      <c r="B27" s="71" t="s">
        <v>51</v>
      </c>
      <c r="C27" s="71"/>
      <c r="F27" s="23"/>
      <c r="G27" s="38"/>
    </row>
    <row r="28" spans="1:8" ht="3.75" customHeight="1" thickBot="1" x14ac:dyDescent="0.25">
      <c r="B28" s="54"/>
      <c r="C28" s="54"/>
      <c r="F28" s="23"/>
      <c r="G28" s="38"/>
    </row>
    <row r="29" spans="1:8" ht="30" customHeight="1" thickTop="1" x14ac:dyDescent="0.2">
      <c r="B29" s="70" t="s">
        <v>41</v>
      </c>
      <c r="C29" s="70"/>
      <c r="H29" s="25"/>
    </row>
    <row r="30" spans="1:8" ht="23.85" customHeight="1" x14ac:dyDescent="0.2">
      <c r="B30" s="56" t="s">
        <v>52</v>
      </c>
      <c r="C30" s="56"/>
      <c r="D30" s="56"/>
    </row>
    <row r="31" spans="1:8" ht="1.5" customHeight="1" x14ac:dyDescent="0.2">
      <c r="A31" s="29"/>
      <c r="B31" s="56"/>
      <c r="C31" s="56"/>
      <c r="D31" s="56"/>
    </row>
    <row r="32" spans="1:8" ht="1.5" customHeight="1" x14ac:dyDescent="0.2">
      <c r="A32" s="29"/>
      <c r="B32" s="56"/>
      <c r="C32" s="56"/>
      <c r="D32" s="56"/>
    </row>
    <row r="33" spans="1:5" ht="3.75" customHeight="1" x14ac:dyDescent="0.2">
      <c r="A33" s="29"/>
      <c r="B33" s="56"/>
      <c r="C33" s="56"/>
      <c r="D33" s="56"/>
      <c r="E33" s="25"/>
    </row>
    <row r="34" spans="1:5" ht="35.1" hidden="1" customHeight="1" x14ac:dyDescent="0.2">
      <c r="A34" s="29"/>
      <c r="B34" s="56"/>
      <c r="C34" s="56"/>
      <c r="D34" s="56"/>
    </row>
    <row r="35" spans="1:5" ht="33" customHeight="1" x14ac:dyDescent="0.2">
      <c r="A35" s="29"/>
      <c r="B35" s="56"/>
      <c r="C35" s="56"/>
      <c r="D35" s="56"/>
    </row>
  </sheetData>
  <sheetProtection selectLockedCells="1"/>
  <customSheetViews>
    <customSheetView guid="{3F1A6132-2B86-40CC-AED6-B11CCDB90F60}" scale="90" showGridLines="0" showRowCol="0" printArea="1" hiddenRows="1">
      <selection activeCell="B9" sqref="B9:C9"/>
      <pageMargins left="0.75" right="0.75" top="1" bottom="1" header="0.5" footer="0.5"/>
      <printOptions horizontalCentered="1"/>
      <pageSetup orientation="portrait" r:id="rId1"/>
      <headerFooter alignWithMargins="0"/>
    </customSheetView>
    <customSheetView guid="{81959990-54F1-480D-987B-3957F0F610EC}" showGridLines="0" showRowCol="0" printArea="1" hiddenRows="1">
      <selection activeCell="B9" sqref="B9:C9"/>
      <pageMargins left="0.75" right="0.75" top="1" bottom="1" header="0.5" footer="0.5"/>
      <printOptions horizontalCentered="1"/>
      <pageSetup orientation="portrait" r:id="rId2"/>
      <headerFooter alignWithMargins="0"/>
    </customSheetView>
  </customSheetViews>
  <mergeCells count="11">
    <mergeCell ref="B9:C9"/>
    <mergeCell ref="B2:C5"/>
    <mergeCell ref="B6:C7"/>
    <mergeCell ref="B29:C29"/>
    <mergeCell ref="B27:C27"/>
    <mergeCell ref="B30:D35"/>
    <mergeCell ref="B26:C26"/>
    <mergeCell ref="B13:C13"/>
    <mergeCell ref="B22:C22"/>
    <mergeCell ref="B18:C18"/>
    <mergeCell ref="B14:C14"/>
  </mergeCells>
  <phoneticPr fontId="2" type="noConversion"/>
  <printOptions horizontalCentered="1"/>
  <pageMargins left="0.75" right="0.75" top="1" bottom="1" header="0.5" footer="0.5"/>
  <pageSetup orientation="portrait" r:id="rId3"/>
  <headerFooter alignWithMargins="0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0"/>
  <sheetViews>
    <sheetView topLeftCell="A37" workbookViewId="0">
      <selection activeCell="C66" sqref="C66"/>
    </sheetView>
  </sheetViews>
  <sheetFormatPr defaultRowHeight="12.75" x14ac:dyDescent="0.2"/>
  <cols>
    <col min="1" max="1" width="13.28515625" customWidth="1"/>
    <col min="2" max="2" width="20.7109375" customWidth="1"/>
    <col min="3" max="3" width="47.42578125" customWidth="1"/>
    <col min="4" max="4" width="19.140625" customWidth="1"/>
  </cols>
  <sheetData>
    <row r="1" spans="1:3" ht="13.5" thickBot="1" x14ac:dyDescent="0.25">
      <c r="A1" s="75" t="s">
        <v>40</v>
      </c>
      <c r="B1" s="76"/>
      <c r="C1" s="77"/>
    </row>
    <row r="2" spans="1:3" ht="13.5" thickBot="1" x14ac:dyDescent="0.25"/>
    <row r="3" spans="1:3" ht="13.5" thickBot="1" x14ac:dyDescent="0.25">
      <c r="A3" s="72" t="s">
        <v>0</v>
      </c>
      <c r="B3" s="73"/>
      <c r="C3" s="74"/>
    </row>
    <row r="4" spans="1:3" x14ac:dyDescent="0.2">
      <c r="A4" t="s">
        <v>1</v>
      </c>
      <c r="B4" s="5">
        <f>Premium!C11</f>
        <v>0</v>
      </c>
    </row>
    <row r="5" spans="1:3" x14ac:dyDescent="0.2">
      <c r="A5" t="s">
        <v>2</v>
      </c>
      <c r="B5" s="1">
        <f>ROUNDUP(B4,-3)</f>
        <v>0</v>
      </c>
    </row>
    <row r="6" spans="1:3" x14ac:dyDescent="0.2">
      <c r="A6" t="s">
        <v>3</v>
      </c>
      <c r="B6" t="s">
        <v>39</v>
      </c>
      <c r="C6" s="2">
        <f>IF(OR(B5&gt;0,B5&lt;60000),180)</f>
        <v>180</v>
      </c>
    </row>
    <row r="7" spans="1:3" x14ac:dyDescent="0.2">
      <c r="B7" t="s">
        <v>47</v>
      </c>
      <c r="C7" s="2">
        <f>IF(B5&gt;100000,(100-59.406)*3.03,IF(B5&gt;59406,(B5-59406)/1000*3.03,0))</f>
        <v>0</v>
      </c>
    </row>
    <row r="8" spans="1:3" x14ac:dyDescent="0.2">
      <c r="B8" t="s">
        <v>28</v>
      </c>
      <c r="C8" s="2">
        <f>IF(B5&gt;500000,(500-100)*2.48,IF(B5&gt;100000,(B5-100000)/1000*2.48,0))</f>
        <v>0</v>
      </c>
    </row>
    <row r="9" spans="1:3" x14ac:dyDescent="0.2">
      <c r="B9" t="s">
        <v>26</v>
      </c>
      <c r="C9" s="2">
        <f>IF(B5&gt;1000000,(1000-500)*2.2,IF(B5&gt;500000,(B5-500000)/1000*2.2,0))</f>
        <v>0</v>
      </c>
    </row>
    <row r="10" spans="1:3" x14ac:dyDescent="0.2">
      <c r="B10" t="s">
        <v>7</v>
      </c>
      <c r="C10" s="2">
        <f>IF(B5&gt;1000001,(B5-1000000)/1000*2.2,0)</f>
        <v>0</v>
      </c>
    </row>
    <row r="11" spans="1:3" x14ac:dyDescent="0.2">
      <c r="A11" s="3" t="s">
        <v>5</v>
      </c>
      <c r="B11" s="3"/>
      <c r="C11" s="6">
        <f>SUM(C6:C10)</f>
        <v>180</v>
      </c>
    </row>
    <row r="12" spans="1:3" ht="13.5" thickBot="1" x14ac:dyDescent="0.25">
      <c r="B12" t="s">
        <v>38</v>
      </c>
      <c r="C12" s="14">
        <f>IF(C11&lt;180,180,C11)</f>
        <v>180</v>
      </c>
    </row>
    <row r="13" spans="1:3" ht="13.5" thickBot="1" x14ac:dyDescent="0.25">
      <c r="A13" t="s">
        <v>19</v>
      </c>
      <c r="C13" s="4">
        <f>IF(B5=0,0,C12)</f>
        <v>0</v>
      </c>
    </row>
    <row r="15" spans="1:3" ht="13.5" thickBot="1" x14ac:dyDescent="0.25"/>
    <row r="16" spans="1:3" ht="13.5" thickBot="1" x14ac:dyDescent="0.25">
      <c r="A16" s="72" t="s">
        <v>14</v>
      </c>
      <c r="B16" s="73"/>
      <c r="C16" s="74"/>
    </row>
    <row r="17" spans="1:3" x14ac:dyDescent="0.2">
      <c r="A17" t="s">
        <v>1</v>
      </c>
      <c r="B17" s="5">
        <f>Premium!C10</f>
        <v>0</v>
      </c>
    </row>
    <row r="18" spans="1:3" x14ac:dyDescent="0.2">
      <c r="A18" t="s">
        <v>2</v>
      </c>
      <c r="B18" s="1">
        <f>ROUNDUP(B17,-3)</f>
        <v>0</v>
      </c>
    </row>
    <row r="19" spans="1:3" x14ac:dyDescent="0.2">
      <c r="A19" t="s">
        <v>3</v>
      </c>
      <c r="B19" t="s">
        <v>43</v>
      </c>
      <c r="C19" s="2">
        <f>IF(B18&gt;0,250,0)</f>
        <v>0</v>
      </c>
    </row>
    <row r="20" spans="1:3" x14ac:dyDescent="0.2">
      <c r="B20" t="s">
        <v>27</v>
      </c>
      <c r="C20" s="2">
        <f>IF(B18&gt;100000,(100-60.533)*4.13,IF(B18&gt;60533,(B18-60533)/1000*4.13,0))</f>
        <v>0</v>
      </c>
    </row>
    <row r="21" spans="1:3" x14ac:dyDescent="0.2">
      <c r="B21" t="s">
        <v>28</v>
      </c>
      <c r="C21" s="2">
        <f>IF(B18&gt;500000,(500-100)*3.58,IF(B18&gt;100000,(B18-100000)/1000*3.58,0))</f>
        <v>0</v>
      </c>
    </row>
    <row r="22" spans="1:3" x14ac:dyDescent="0.2">
      <c r="B22" t="s">
        <v>4</v>
      </c>
      <c r="C22" s="2">
        <f>IF(B18&gt;1000000,(1000-500)*3.03,IF(B18&gt;500000,(B18-500000)/1000*3.03,0))</f>
        <v>0</v>
      </c>
    </row>
    <row r="23" spans="1:3" x14ac:dyDescent="0.2">
      <c r="B23" t="s">
        <v>7</v>
      </c>
      <c r="C23" s="2">
        <f>IF(B18&gt;1000000,(B18-1000000)/1000*3.03,0)</f>
        <v>0</v>
      </c>
    </row>
    <row r="24" spans="1:3" x14ac:dyDescent="0.2">
      <c r="A24" s="3" t="s">
        <v>5</v>
      </c>
      <c r="B24" s="3"/>
      <c r="C24" s="9">
        <f>SUM(C19:C23)</f>
        <v>0</v>
      </c>
    </row>
    <row r="25" spans="1:3" ht="13.5" thickBot="1" x14ac:dyDescent="0.25">
      <c r="B25" t="s">
        <v>42</v>
      </c>
      <c r="C25" s="14">
        <f>IF(C24&lt;250,250,C24)</f>
        <v>250</v>
      </c>
    </row>
    <row r="26" spans="1:3" ht="13.5" thickBot="1" x14ac:dyDescent="0.25">
      <c r="A26" t="s">
        <v>22</v>
      </c>
      <c r="C26" s="4">
        <f>IF(B18=0,0,C25)</f>
        <v>0</v>
      </c>
    </row>
    <row r="28" spans="1:3" ht="13.5" thickBot="1" x14ac:dyDescent="0.25"/>
    <row r="29" spans="1:3" ht="13.5" thickBot="1" x14ac:dyDescent="0.25">
      <c r="A29" s="72" t="s">
        <v>6</v>
      </c>
      <c r="B29" s="73"/>
      <c r="C29" s="74"/>
    </row>
    <row r="30" spans="1:3" x14ac:dyDescent="0.2">
      <c r="A30" t="s">
        <v>1</v>
      </c>
      <c r="B30" s="5">
        <f>Premium!C10</f>
        <v>0</v>
      </c>
    </row>
    <row r="31" spans="1:3" x14ac:dyDescent="0.2">
      <c r="A31" t="s">
        <v>2</v>
      </c>
      <c r="B31" s="1">
        <f>ROUNDUP(B30,-3)</f>
        <v>0</v>
      </c>
    </row>
    <row r="32" spans="1:3" x14ac:dyDescent="0.2">
      <c r="A32" t="s">
        <v>3</v>
      </c>
      <c r="B32" t="s">
        <v>44</v>
      </c>
      <c r="C32" s="2">
        <f>IF(B31&gt;0,300,0)</f>
        <v>0</v>
      </c>
    </row>
    <row r="33" spans="1:3" x14ac:dyDescent="0.2">
      <c r="B33" t="s">
        <v>46</v>
      </c>
      <c r="C33" s="2">
        <f>IF(B31&gt;100000,(100-60.607)*4.95,IF(B31&gt;60607,(B31-60607)/1000*4.95,0))</f>
        <v>0</v>
      </c>
    </row>
    <row r="34" spans="1:3" x14ac:dyDescent="0.2">
      <c r="B34" t="s">
        <v>28</v>
      </c>
      <c r="C34" s="2">
        <f>IF(B31&gt;500000,(500-100)*4.18,IF(B31&gt;100000,(B31-100000)/1000*4.18,0))</f>
        <v>0</v>
      </c>
    </row>
    <row r="35" spans="1:3" x14ac:dyDescent="0.2">
      <c r="B35" t="s">
        <v>4</v>
      </c>
      <c r="C35" s="2">
        <f>IF(B31&gt;1000000,(1000-500)*3.52,IF(B31&gt;500000,(B31-500000)/1000*3.52,0))</f>
        <v>0</v>
      </c>
    </row>
    <row r="36" spans="1:3" x14ac:dyDescent="0.2">
      <c r="B36" t="s">
        <v>7</v>
      </c>
      <c r="C36" s="2">
        <f>IF(B31&gt;1000000,(B31-1000000)/1000*3.52,0)</f>
        <v>0</v>
      </c>
    </row>
    <row r="37" spans="1:3" x14ac:dyDescent="0.2">
      <c r="A37" s="3" t="s">
        <v>5</v>
      </c>
      <c r="B37" s="3"/>
      <c r="C37" s="9">
        <f>SUM(C32:C36)</f>
        <v>0</v>
      </c>
    </row>
    <row r="38" spans="1:3" ht="13.5" thickBot="1" x14ac:dyDescent="0.25">
      <c r="B38" t="s">
        <v>45</v>
      </c>
      <c r="C38" s="14">
        <f>IF(C37&lt;300,300,C37)</f>
        <v>300</v>
      </c>
    </row>
    <row r="39" spans="1:3" ht="13.5" thickBot="1" x14ac:dyDescent="0.25">
      <c r="A39" t="s">
        <v>24</v>
      </c>
      <c r="C39" s="4">
        <f>IF(B31=0,0,C38)</f>
        <v>0</v>
      </c>
    </row>
    <row r="40" spans="1:3" x14ac:dyDescent="0.2">
      <c r="A40" s="3"/>
      <c r="B40" s="3"/>
      <c r="C40" s="15"/>
    </row>
    <row r="41" spans="1:3" ht="13.5" thickBot="1" x14ac:dyDescent="0.25"/>
    <row r="42" spans="1:3" ht="13.5" thickBot="1" x14ac:dyDescent="0.25">
      <c r="A42" s="72" t="s">
        <v>18</v>
      </c>
      <c r="B42" s="73"/>
      <c r="C42" s="74"/>
    </row>
    <row r="43" spans="1:3" ht="13.5" thickBot="1" x14ac:dyDescent="0.25">
      <c r="A43" s="72" t="s">
        <v>17</v>
      </c>
      <c r="B43" s="73"/>
      <c r="C43" s="74"/>
    </row>
    <row r="44" spans="1:3" x14ac:dyDescent="0.2">
      <c r="A44" t="s">
        <v>15</v>
      </c>
      <c r="C44" s="8">
        <v>150</v>
      </c>
    </row>
    <row r="45" spans="1:3" x14ac:dyDescent="0.2">
      <c r="A45" t="s">
        <v>1</v>
      </c>
      <c r="B45" s="12">
        <f>B17</f>
        <v>0</v>
      </c>
    </row>
    <row r="46" spans="1:3" x14ac:dyDescent="0.2">
      <c r="A46" t="s">
        <v>2</v>
      </c>
      <c r="B46" s="1">
        <f>ROUNDUP(B45,-3)</f>
        <v>0</v>
      </c>
    </row>
    <row r="47" spans="1:3" ht="15" x14ac:dyDescent="0.25">
      <c r="A47" s="50" t="s">
        <v>48</v>
      </c>
      <c r="B47" s="1"/>
      <c r="C47" s="48">
        <f>IF(B65&lt;0,0,IF(B46&lt;B5,B5-B46,0))</f>
        <v>0</v>
      </c>
    </row>
    <row r="48" spans="1:3" ht="15" x14ac:dyDescent="0.2">
      <c r="A48" s="50"/>
      <c r="B48" s="1" t="s">
        <v>49</v>
      </c>
      <c r="C48" s="52">
        <f>IF(OR(B46&gt;=0,B46&lt;59.406),180)</f>
        <v>180</v>
      </c>
    </row>
    <row r="49" spans="1:4" ht="15" x14ac:dyDescent="0.25">
      <c r="A49" t="s">
        <v>3</v>
      </c>
      <c r="B49" t="s">
        <v>39</v>
      </c>
      <c r="C49" s="53">
        <f>IF(B45&gt;=59.406,C47/1000*3.03,0)</f>
        <v>0</v>
      </c>
    </row>
    <row r="50" spans="1:4" x14ac:dyDescent="0.2">
      <c r="B50" t="s">
        <v>27</v>
      </c>
      <c r="C50" s="2">
        <f>IF(B46&gt;100000,(100-59.406)*3.03,IF(B46&gt;59000,(B46-59406)/1000*3.03,0))</f>
        <v>0</v>
      </c>
    </row>
    <row r="51" spans="1:4" x14ac:dyDescent="0.2">
      <c r="B51" t="s">
        <v>28</v>
      </c>
      <c r="C51" s="2">
        <f>IF(B46&gt;500000,(500-100)*2.48,IF(B46&gt;100000,(B46-100000)/1000*2.48,0))</f>
        <v>0</v>
      </c>
      <c r="D51" s="2"/>
    </row>
    <row r="52" spans="1:4" x14ac:dyDescent="0.2">
      <c r="B52" t="s">
        <v>26</v>
      </c>
      <c r="C52" s="2">
        <f>IF(B46&gt;1000000,(1000-500)*2.2,IF(B46&gt;500000,(B46-500000)/1000*2.2,0))</f>
        <v>0</v>
      </c>
    </row>
    <row r="53" spans="1:4" x14ac:dyDescent="0.2">
      <c r="B53" t="s">
        <v>7</v>
      </c>
      <c r="C53" s="2">
        <f>IF(B46&gt;1000000,(B46-1000000)/1000*2.2,0)</f>
        <v>0</v>
      </c>
    </row>
    <row r="54" spans="1:4" x14ac:dyDescent="0.2">
      <c r="A54" s="3" t="s">
        <v>5</v>
      </c>
      <c r="B54" s="3"/>
      <c r="C54" s="9">
        <f>SUM(C48:C53)</f>
        <v>180</v>
      </c>
    </row>
    <row r="55" spans="1:4" ht="15" x14ac:dyDescent="0.2">
      <c r="A55" s="3" t="s">
        <v>19</v>
      </c>
      <c r="C55" s="51">
        <f>IF(B46=0,0,IF(B46&lt;=59000,SUM(C54-C48+C44),IF(B45&gt;=60000,SUM(C56-C54,C49+C44))))</f>
        <v>0</v>
      </c>
    </row>
    <row r="56" spans="1:4" x14ac:dyDescent="0.2">
      <c r="A56" t="s">
        <v>20</v>
      </c>
      <c r="C56" s="16">
        <f>C76</f>
        <v>0</v>
      </c>
    </row>
    <row r="57" spans="1:4" x14ac:dyDescent="0.2">
      <c r="A57" t="s">
        <v>21</v>
      </c>
      <c r="C57" s="7">
        <f>C56-C55</f>
        <v>0</v>
      </c>
    </row>
    <row r="59" spans="1:4" ht="13.5" thickBot="1" x14ac:dyDescent="0.25">
      <c r="A59" t="s">
        <v>22</v>
      </c>
      <c r="C59" s="13">
        <f>IF(B46=0,0,C26)</f>
        <v>0</v>
      </c>
    </row>
    <row r="60" spans="1:4" ht="13.5" thickBot="1" x14ac:dyDescent="0.25">
      <c r="A60" s="3" t="s">
        <v>23</v>
      </c>
      <c r="C60" s="11">
        <f>IF(B18=0,0,IF(B18=B5,C59+C44-C56,IF(B18&gt;=B5,C59-C56+C44,IF(B18&lt;B5,SUM(C59+C55-C56)))))</f>
        <v>0</v>
      </c>
    </row>
    <row r="62" spans="1:4" ht="13.5" thickBot="1" x14ac:dyDescent="0.25"/>
    <row r="63" spans="1:4" ht="13.5" thickBot="1" x14ac:dyDescent="0.25">
      <c r="A63" s="72" t="s">
        <v>16</v>
      </c>
      <c r="B63" s="73"/>
      <c r="C63" s="74"/>
    </row>
    <row r="64" spans="1:4" x14ac:dyDescent="0.2">
      <c r="A64" t="s">
        <v>15</v>
      </c>
      <c r="B64" s="7"/>
      <c r="C64" s="8">
        <v>150</v>
      </c>
    </row>
    <row r="65" spans="1:3" x14ac:dyDescent="0.2">
      <c r="A65" t="s">
        <v>1</v>
      </c>
      <c r="B65" s="10">
        <f>B17</f>
        <v>0</v>
      </c>
    </row>
    <row r="66" spans="1:3" x14ac:dyDescent="0.2">
      <c r="A66" t="s">
        <v>2</v>
      </c>
      <c r="B66" s="1">
        <f>ROUNDUP(B65,-3)</f>
        <v>0</v>
      </c>
    </row>
    <row r="67" spans="1:3" ht="15" x14ac:dyDescent="0.2">
      <c r="A67" s="50" t="s">
        <v>48</v>
      </c>
      <c r="B67" s="1"/>
      <c r="C67" s="46">
        <f>IF(B65&lt;0,0,IF(B65&lt;B5,B5-B65,0))</f>
        <v>0</v>
      </c>
    </row>
    <row r="68" spans="1:3" ht="15" x14ac:dyDescent="0.2">
      <c r="A68" s="50"/>
      <c r="B68" s="1"/>
      <c r="C68" s="46">
        <f>IF(OR(B66&gt;=0,B66&lt;59.406),180)</f>
        <v>180</v>
      </c>
    </row>
    <row r="69" spans="1:3" ht="15" x14ac:dyDescent="0.2">
      <c r="A69" t="s">
        <v>3</v>
      </c>
      <c r="B69" t="s">
        <v>39</v>
      </c>
      <c r="C69" s="49">
        <f>IF(B45&gt;59.406,C47/1000*3.03,0)</f>
        <v>0</v>
      </c>
    </row>
    <row r="70" spans="1:3" x14ac:dyDescent="0.2">
      <c r="B70" t="s">
        <v>27</v>
      </c>
      <c r="C70" s="2">
        <f>IF(B65&gt;100000,(100-59.406)*3.03,IF(B65&gt;59406,(B65-59406)/1000*3.03,0))</f>
        <v>0</v>
      </c>
    </row>
    <row r="71" spans="1:3" x14ac:dyDescent="0.2">
      <c r="B71" t="s">
        <v>28</v>
      </c>
      <c r="C71" s="2">
        <f>IF(B66&gt;500000,(500-100)*2.48,IF(B66&gt;100001,(B66-100000)/1000*2.48,0))</f>
        <v>0</v>
      </c>
    </row>
    <row r="72" spans="1:3" x14ac:dyDescent="0.2">
      <c r="B72" t="s">
        <v>26</v>
      </c>
      <c r="C72" s="2">
        <f>IF(B66&gt;1000000,(1000-500)*2.2,IF(B66&gt;500000,(B66-500000)/1000*2.2,0))</f>
        <v>0</v>
      </c>
    </row>
    <row r="73" spans="1:3" x14ac:dyDescent="0.2">
      <c r="B73" t="s">
        <v>7</v>
      </c>
      <c r="C73" s="2">
        <f>IF(B66&gt;1000000,(B66-1000000)/1000*2.2,0)</f>
        <v>0</v>
      </c>
    </row>
    <row r="74" spans="1:3" x14ac:dyDescent="0.2">
      <c r="A74" s="3" t="s">
        <v>5</v>
      </c>
      <c r="B74" s="3"/>
      <c r="C74" s="9">
        <f>SUM(C68:C73)</f>
        <v>180</v>
      </c>
    </row>
    <row r="75" spans="1:3" x14ac:dyDescent="0.2">
      <c r="A75" s="3" t="s">
        <v>19</v>
      </c>
      <c r="C75" s="47">
        <f>IF(B66=0,0,IF(B66&lt;=59000,SUM(C74-C68+C64),IF(B66&gt;=60000,SUM(C76-C74,C69+C64))))</f>
        <v>0</v>
      </c>
    </row>
    <row r="76" spans="1:3" ht="15" x14ac:dyDescent="0.2">
      <c r="A76" t="s">
        <v>20</v>
      </c>
      <c r="C76" s="52">
        <f>IF(B66&lt;0,0,C13)</f>
        <v>0</v>
      </c>
    </row>
    <row r="77" spans="1:3" x14ac:dyDescent="0.2">
      <c r="A77" s="17" t="s">
        <v>29</v>
      </c>
      <c r="C77" s="7">
        <f>C76-C75</f>
        <v>0</v>
      </c>
    </row>
    <row r="78" spans="1:3" x14ac:dyDescent="0.2">
      <c r="A78" s="17"/>
      <c r="C78" s="18"/>
    </row>
    <row r="79" spans="1:3" ht="13.5" thickBot="1" x14ac:dyDescent="0.25">
      <c r="A79" t="s">
        <v>24</v>
      </c>
      <c r="C79" s="13">
        <f>IF(B66&lt;0,0,C39)</f>
        <v>0</v>
      </c>
    </row>
    <row r="80" spans="1:3" ht="13.5" thickBot="1" x14ac:dyDescent="0.25">
      <c r="A80" s="3" t="s">
        <v>25</v>
      </c>
      <c r="C80" s="11">
        <f>IF(B18=0,0,IF(B18=B5,C79+C64-C76,IF(B18&gt;=B5,C79-C76+C64,IF(B18&lt;B5,SUM(C79+C75-C76)))))</f>
        <v>0</v>
      </c>
    </row>
  </sheetData>
  <sheetProtection algorithmName="SHA-512" hashValue="Xks98iS4f5neE3P0S4EK9OuYe3rcBKoIad9k0/ipRpPBBCAkc99IzGnwcG3fy1DCTNekvSN/Ti8VtIf3PLxyeg==" saltValue="AEWTrjZrX/+SCONjG6JgJw==" spinCount="100000" sheet="1" objects="1" scenarios="1"/>
  <customSheetViews>
    <customSheetView guid="{3F1A6132-2B86-40CC-AED6-B11CCDB90F60}" state="hidden" topLeftCell="A37">
      <selection activeCell="C66" sqref="C66"/>
      <pageMargins left="0.75" right="0.75" top="1" bottom="1" header="0.5" footer="0.5"/>
      <pageSetup orientation="portrait" r:id="rId1"/>
      <headerFooter alignWithMargins="0"/>
    </customSheetView>
    <customSheetView guid="{81959990-54F1-480D-987B-3957F0F610EC}" state="hidden" topLeftCell="A37">
      <selection activeCell="C66" sqref="C66"/>
      <pageMargins left="0.75" right="0.75" top="1" bottom="1" header="0.5" footer="0.5"/>
      <pageSetup orientation="portrait" r:id="rId2"/>
      <headerFooter alignWithMargins="0"/>
    </customSheetView>
  </customSheetViews>
  <mergeCells count="7">
    <mergeCell ref="A43:C43"/>
    <mergeCell ref="A63:C63"/>
    <mergeCell ref="A3:C3"/>
    <mergeCell ref="A1:C1"/>
    <mergeCell ref="A16:C16"/>
    <mergeCell ref="A29:C29"/>
    <mergeCell ref="A42:C42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F1A6132-2B86-40CC-AED6-B11CCDB90F6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E28" sqref="E28"/>
    </sheetView>
  </sheetViews>
  <sheetFormatPr defaultRowHeight="12.75" x14ac:dyDescent="0.2"/>
  <cols>
    <col min="2" max="3" width="9.140625" customWidth="1"/>
  </cols>
  <sheetData/>
  <customSheetViews>
    <customSheetView guid="{3F1A6132-2B86-40CC-AED6-B11CCDB90F60}" showFormulas="1" state="hidden">
      <selection activeCell="E28" sqref="E28"/>
      <pageMargins left="0.7" right="0.7" top="0.75" bottom="0.75" header="0.3" footer="0.3"/>
    </customSheetView>
    <customSheetView guid="{81959990-54F1-480D-987B-3957F0F610EC}" showFormulas="1">
      <selection activeCell="E28" sqref="E2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Premium</vt:lpstr>
      <vt:lpstr>C1</vt:lpstr>
      <vt:lpstr>Sheet2</vt:lpstr>
      <vt:lpstr>Sheet1</vt:lpstr>
      <vt:lpstr>Premium!Print_Area</vt:lpstr>
    </vt:vector>
  </TitlesOfParts>
  <Company>Old Republic National Title Insurance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 Republic Title</dc:creator>
  <cp:lastModifiedBy>Samantha Baker</cp:lastModifiedBy>
  <cp:lastPrinted>2017-03-31T20:40:22Z</cp:lastPrinted>
  <dcterms:created xsi:type="dcterms:W3CDTF">2009-03-11T16:13:51Z</dcterms:created>
  <dcterms:modified xsi:type="dcterms:W3CDTF">2017-04-10T14:28:31Z</dcterms:modified>
</cp:coreProperties>
</file>